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атематичне моделювання\"/>
    </mc:Choice>
  </mc:AlternateContent>
  <bookViews>
    <workbookView xWindow="0" yWindow="0" windowWidth="15765" windowHeight="7755" activeTab="2"/>
  </bookViews>
  <sheets>
    <sheet name="Расчет" sheetId="1" r:id="rId1"/>
    <sheet name="Формула" sheetId="2" r:id="rId2"/>
    <sheet name="Лист3" sheetId="3" r:id="rId3"/>
    <sheet name="Лист1" sheetId="5" r:id="rId4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23" i="3"/>
  <c r="C23" i="3" s="1"/>
  <c r="D23" i="3"/>
  <c r="C7" i="2" l="1"/>
  <c r="D6" i="2"/>
  <c r="D5" i="2"/>
  <c r="D4" i="2"/>
  <c r="D7" i="2" s="1"/>
  <c r="Q13" i="1"/>
  <c r="B1" i="2" l="1"/>
  <c r="B4" i="1" l="1"/>
  <c r="B7" i="1" s="1"/>
  <c r="B4" i="3" s="1"/>
  <c r="C4" i="3" s="1"/>
  <c r="D40" i="3" s="1"/>
  <c r="E19" i="3" l="1"/>
  <c r="E7" i="3"/>
  <c r="E8" i="3" s="1"/>
  <c r="E28" i="3"/>
  <c r="E29" i="3" s="1"/>
  <c r="E31" i="3" s="1"/>
  <c r="D38" i="3" s="1"/>
  <c r="E13" i="3"/>
  <c r="B6" i="1"/>
  <c r="B3" i="3" s="1"/>
  <c r="C3" i="3" s="1"/>
  <c r="B1" i="3"/>
  <c r="E40" i="3" s="1"/>
  <c r="B5" i="1"/>
  <c r="C40" i="3" l="1"/>
  <c r="B8" i="3"/>
  <c r="B29" i="3"/>
  <c r="C8" i="3"/>
  <c r="D28" i="3"/>
  <c r="D13" i="3"/>
  <c r="D14" i="3" s="1"/>
  <c r="D19" i="3"/>
  <c r="D7" i="3"/>
  <c r="D9" i="3" s="1"/>
  <c r="B9" i="3" s="1"/>
  <c r="B2" i="3"/>
  <c r="C2" i="3" s="1"/>
  <c r="B40" i="3" s="1"/>
  <c r="B10" i="3" l="1"/>
  <c r="D8" i="3"/>
  <c r="D10" i="3" s="1"/>
  <c r="C35" i="3" s="1"/>
  <c r="D20" i="3"/>
  <c r="C29" i="3"/>
  <c r="D29" i="3"/>
  <c r="C19" i="3"/>
  <c r="C7" i="3"/>
  <c r="F7" i="3" s="1"/>
  <c r="C28" i="3"/>
  <c r="C13" i="3"/>
  <c r="F13" i="3" s="1"/>
  <c r="C9" i="3"/>
  <c r="C10" i="3" s="1"/>
  <c r="B35" i="3" s="1"/>
  <c r="F9" i="3"/>
  <c r="E9" i="3"/>
  <c r="E10" i="3" s="1"/>
  <c r="D35" i="3" s="1"/>
  <c r="B14" i="3"/>
  <c r="B20" i="3" l="1"/>
  <c r="C20" i="3" s="1"/>
  <c r="F8" i="3"/>
  <c r="F10" i="3" s="1"/>
  <c r="E35" i="3" s="1"/>
  <c r="F29" i="3"/>
  <c r="F28" i="3"/>
  <c r="C30" i="3"/>
  <c r="C31" i="3" s="1"/>
  <c r="B38" i="3" s="1"/>
  <c r="F19" i="3"/>
  <c r="E14" i="3"/>
  <c r="C14" i="3"/>
  <c r="C21" i="3" l="1"/>
  <c r="E20" i="3"/>
  <c r="F20" i="3" s="1"/>
  <c r="B21" i="3"/>
  <c r="D21" i="3" s="1"/>
  <c r="B30" i="3"/>
  <c r="B31" i="3" s="1"/>
  <c r="E15" i="3"/>
  <c r="B15" i="3" s="1"/>
  <c r="B16" i="3" s="1"/>
  <c r="F14" i="3"/>
  <c r="E16" i="3" l="1"/>
  <c r="D36" i="3" s="1"/>
  <c r="E21" i="3"/>
  <c r="F21" i="3" s="1"/>
  <c r="D30" i="3"/>
  <c r="D31" i="3" s="1"/>
  <c r="C38" i="3" s="1"/>
  <c r="C15" i="3"/>
  <c r="C16" i="3" s="1"/>
  <c r="B36" i="3" s="1"/>
  <c r="D15" i="3"/>
  <c r="D16" i="3" s="1"/>
  <c r="C36" i="3" s="1"/>
  <c r="F30" i="3" l="1"/>
  <c r="F31" i="3" s="1"/>
  <c r="E38" i="3" s="1"/>
  <c r="E22" i="3"/>
  <c r="F15" i="3"/>
  <c r="F16" i="3" s="1"/>
  <c r="E36" i="3" s="1"/>
  <c r="B22" i="3" l="1"/>
  <c r="C22" i="3" l="1"/>
  <c r="D22" i="3"/>
  <c r="D24" i="3" l="1"/>
  <c r="B24" i="3" s="1"/>
  <c r="B25" i="3" s="1"/>
  <c r="F22" i="3"/>
  <c r="F23" i="3"/>
  <c r="E24" i="3" l="1"/>
  <c r="E25" i="3" s="1"/>
  <c r="D37" i="3" s="1"/>
  <c r="C24" i="3"/>
  <c r="C25" i="3" s="1"/>
  <c r="B37" i="3" s="1"/>
  <c r="D25" i="3"/>
  <c r="C37" i="3" s="1"/>
  <c r="B39" i="3" l="1"/>
  <c r="C39" i="3"/>
  <c r="D39" i="3"/>
  <c r="F24" i="3"/>
  <c r="F25" i="3"/>
  <c r="E37" i="3" s="1"/>
  <c r="D41" i="3" l="1"/>
  <c r="F47" i="3"/>
  <c r="F45" i="3"/>
  <c r="F44" i="3"/>
  <c r="C41" i="3"/>
  <c r="D45" i="3"/>
  <c r="D44" i="3"/>
  <c r="D47" i="3"/>
  <c r="B41" i="3"/>
  <c r="B45" i="3"/>
  <c r="B44" i="3"/>
  <c r="B47" i="3"/>
  <c r="E39" i="3"/>
  <c r="F46" i="3"/>
  <c r="D46" i="3"/>
  <c r="B46" i="3"/>
  <c r="E41" i="3" l="1"/>
  <c r="H45" i="3"/>
  <c r="H44" i="3"/>
  <c r="H47" i="3"/>
  <c r="H46" i="3"/>
  <c r="E8" i="5"/>
  <c r="D8" i="5"/>
  <c r="F10" i="5"/>
  <c r="F6" i="5"/>
  <c r="F7" i="5"/>
  <c r="F9" i="5"/>
  <c r="C7" i="5"/>
  <c r="C9" i="5"/>
  <c r="E6" i="5"/>
  <c r="E7" i="5"/>
  <c r="E9" i="5"/>
  <c r="C6" i="5"/>
  <c r="C8" i="5"/>
  <c r="F8" i="5"/>
  <c r="D6" i="5"/>
  <c r="D7" i="5"/>
  <c r="D9" i="5"/>
</calcChain>
</file>

<file path=xl/sharedStrings.xml><?xml version="1.0" encoding="utf-8"?>
<sst xmlns="http://schemas.openxmlformats.org/spreadsheetml/2006/main" count="108" uniqueCount="62">
  <si>
    <t>Вес</t>
  </si>
  <si>
    <t>Рост</t>
  </si>
  <si>
    <t>Возраст</t>
  </si>
  <si>
    <t>Коэффициент активности</t>
  </si>
  <si>
    <t>Пол</t>
  </si>
  <si>
    <t xml:space="preserve">кількість кілокалорій </t>
  </si>
  <si>
    <t>м</t>
  </si>
  <si>
    <t>Белки</t>
  </si>
  <si>
    <t>Жиры</t>
  </si>
  <si>
    <t>Углеводы</t>
  </si>
  <si>
    <t>разчет калорий для девушек</t>
  </si>
  <si>
    <t>разчет калорий для парней</t>
  </si>
  <si>
    <t>Соотношение грам</t>
  </si>
  <si>
    <t>Соотношение калорий</t>
  </si>
  <si>
    <t xml:space="preserve">Проценты калорий </t>
  </si>
  <si>
    <t>Вообщем</t>
  </si>
  <si>
    <t>ккал</t>
  </si>
  <si>
    <t>жиры</t>
  </si>
  <si>
    <t>углеводы</t>
  </si>
  <si>
    <t>Завтрак</t>
  </si>
  <si>
    <t>Б</t>
  </si>
  <si>
    <t>Ж</t>
  </si>
  <si>
    <t>У</t>
  </si>
  <si>
    <t>Каша</t>
  </si>
  <si>
    <t>Молоко</t>
  </si>
  <si>
    <t>Ккал</t>
  </si>
  <si>
    <t>Ланч</t>
  </si>
  <si>
    <t>Салат з оливковим маслом</t>
  </si>
  <si>
    <t>Шматочок вершкового сиру</t>
  </si>
  <si>
    <t>Рис</t>
  </si>
  <si>
    <t>Телятина/курятина</t>
  </si>
  <si>
    <t>Хліб чорний</t>
  </si>
  <si>
    <t>Молочні сосиски</t>
  </si>
  <si>
    <t>Баланс</t>
  </si>
  <si>
    <t>Сніданок</t>
  </si>
  <si>
    <t>Обід</t>
  </si>
  <si>
    <t>Вечеря</t>
  </si>
  <si>
    <t>д</t>
  </si>
  <si>
    <t>nodedata</t>
  </si>
  <si>
    <t>МАТЕМАТИЧНЕ МОДЕЛЮВАННЯ РАЦІОНУ ПІДЛІТКІВ</t>
  </si>
  <si>
    <t>математична модель раціону підлітків</t>
  </si>
  <si>
    <t>http://files.d-lan.dp.ua/download.php?file=a59f8caa970cc0ead0e739d52dcb84ba</t>
  </si>
  <si>
    <t>href</t>
  </si>
  <si>
    <t>Титульна</t>
  </si>
  <si>
    <t>http://img11.nnm.me/5/9/8/5/8/a9bc63625a5265f86aab4adeb88.jpg</t>
  </si>
  <si>
    <t>Всього</t>
  </si>
  <si>
    <t>Маса</t>
  </si>
  <si>
    <t>Горіхи</t>
  </si>
  <si>
    <t>Фрукти</t>
  </si>
  <si>
    <t>білки</t>
  </si>
  <si>
    <t>Теоритично необіхдний</t>
  </si>
  <si>
    <t>Коефіент отримання</t>
  </si>
  <si>
    <t>Грами</t>
  </si>
  <si>
    <t>Полуничне варення</t>
  </si>
  <si>
    <t>Білки</t>
  </si>
  <si>
    <t>Жири</t>
  </si>
  <si>
    <t>Вуглеводы</t>
  </si>
  <si>
    <t>Відсоткове співвідношення</t>
  </si>
  <si>
    <t>Практично отримані</t>
  </si>
  <si>
    <t>Теоритерично оримані</t>
  </si>
  <si>
    <t>жири</t>
  </si>
  <si>
    <t>Вуглеводи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</si>
</sst>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2BB42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DCBF5"/>
        <bgColor indexed="64"/>
      </patternFill>
    </fill>
    <fill>
      <patternFill patternType="solid">
        <fgColor rgb="FFCBFF9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1" fontId="0" fillId="7" borderId="1" xfId="0" applyNumberFormat="1" applyFill="1" applyBorder="1"/>
    <xf numFmtId="1" fontId="0" fillId="9" borderId="1" xfId="0" applyNumberFormat="1" applyFill="1" applyBorder="1"/>
    <xf numFmtId="1" fontId="0" fillId="8" borderId="1" xfId="0" applyNumberFormat="1" applyFill="1" applyBorder="1"/>
    <xf numFmtId="1" fontId="0" fillId="2" borderId="1" xfId="0" applyNumberFormat="1" applyFill="1" applyBorder="1"/>
    <xf numFmtId="1" fontId="0" fillId="3" borderId="1" xfId="0" applyNumberFormat="1" applyFill="1" applyBorder="1"/>
    <xf numFmtId="1" fontId="0" fillId="4" borderId="1" xfId="0" applyNumberFormat="1" applyFill="1" applyBorder="1"/>
    <xf numFmtId="1" fontId="0" fillId="5" borderId="1" xfId="0" applyNumberFormat="1" applyFill="1" applyBorder="1"/>
    <xf numFmtId="1" fontId="0" fillId="10" borderId="1" xfId="0" applyNumberFormat="1" applyFill="1" applyBorder="1"/>
    <xf numFmtId="1" fontId="0" fillId="6" borderId="1" xfId="0" applyNumberFormat="1" applyFill="1" applyBorder="1"/>
    <xf numFmtId="1" fontId="0" fillId="11" borderId="1" xfId="0" applyNumberFormat="1" applyFill="1" applyBorder="1"/>
    <xf numFmtId="1" fontId="0" fillId="12" borderId="1" xfId="0" applyNumberFormat="1" applyFill="1" applyBorder="1"/>
    <xf numFmtId="1" fontId="0" fillId="0" borderId="0" xfId="0" applyNumberFormat="1"/>
    <xf numFmtId="0" fontId="1" fillId="0" borderId="0" xfId="1"/>
    <xf numFmtId="0" fontId="0" fillId="0" borderId="2" xfId="0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D1BD"/>
      <color rgb="FFFEEBBA"/>
      <color rgb="FFFEF9D2"/>
      <color rgb="FFCBFF9B"/>
      <color rgb="FF2BB424"/>
      <color rgb="FF9DCBF5"/>
      <color rgb="FFA1F9B2"/>
      <color rgb="FF90F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Формула!$B$12</c:f>
              <c:strCache>
                <c:ptCount val="1"/>
                <c:pt idx="0">
                  <c:v>Білки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Формула!$A$13:$A$16</c:f>
              <c:strCache>
                <c:ptCount val="4"/>
                <c:pt idx="0">
                  <c:v>Сніданок</c:v>
                </c:pt>
                <c:pt idx="1">
                  <c:v>Ланч</c:v>
                </c:pt>
                <c:pt idx="2">
                  <c:v>Обід</c:v>
                </c:pt>
                <c:pt idx="3">
                  <c:v>Вечеря</c:v>
                </c:pt>
              </c:strCache>
            </c:strRef>
          </c:cat>
          <c:val>
            <c:numRef>
              <c:f>Формула!$B$13:$B$16</c:f>
              <c:numCache>
                <c:formatCode>General</c:formatCode>
                <c:ptCount val="4"/>
                <c:pt idx="0">
                  <c:v>35</c:v>
                </c:pt>
                <c:pt idx="1">
                  <c:v>5</c:v>
                </c:pt>
                <c:pt idx="2">
                  <c:v>20</c:v>
                </c:pt>
                <c:pt idx="3">
                  <c:v>40</c:v>
                </c:pt>
              </c:numCache>
            </c:numRef>
          </c:val>
        </c:ser>
        <c:ser>
          <c:idx val="1"/>
          <c:order val="1"/>
          <c:tx>
            <c:strRef>
              <c:f>Формула!$C$12</c:f>
              <c:strCache>
                <c:ptCount val="1"/>
                <c:pt idx="0">
                  <c:v>жири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Формула!$A$13:$A$16</c:f>
              <c:strCache>
                <c:ptCount val="4"/>
                <c:pt idx="0">
                  <c:v>Сніданок</c:v>
                </c:pt>
                <c:pt idx="1">
                  <c:v>Ланч</c:v>
                </c:pt>
                <c:pt idx="2">
                  <c:v>Обід</c:v>
                </c:pt>
                <c:pt idx="3">
                  <c:v>Вечеря</c:v>
                </c:pt>
              </c:strCache>
            </c:strRef>
          </c:cat>
          <c:val>
            <c:numRef>
              <c:f>Формула!$C$13:$C$16</c:f>
              <c:numCache>
                <c:formatCode>General</c:formatCode>
                <c:ptCount val="4"/>
                <c:pt idx="0">
                  <c:v>15</c:v>
                </c:pt>
                <c:pt idx="1">
                  <c:v>20</c:v>
                </c:pt>
                <c:pt idx="2">
                  <c:v>60</c:v>
                </c:pt>
                <c:pt idx="3">
                  <c:v>5</c:v>
                </c:pt>
              </c:numCache>
            </c:numRef>
          </c:val>
        </c:ser>
        <c:ser>
          <c:idx val="2"/>
          <c:order val="2"/>
          <c:tx>
            <c:strRef>
              <c:f>Формула!$D$12</c:f>
              <c:strCache>
                <c:ptCount val="1"/>
                <c:pt idx="0">
                  <c:v>Вуглеводи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Формула!$A$13:$A$16</c:f>
              <c:strCache>
                <c:ptCount val="4"/>
                <c:pt idx="0">
                  <c:v>Сніданок</c:v>
                </c:pt>
                <c:pt idx="1">
                  <c:v>Ланч</c:v>
                </c:pt>
                <c:pt idx="2">
                  <c:v>Обід</c:v>
                </c:pt>
                <c:pt idx="3">
                  <c:v>Вечеря</c:v>
                </c:pt>
              </c:strCache>
            </c:strRef>
          </c:cat>
          <c:val>
            <c:numRef>
              <c:f>Формула!$D$13:$D$16</c:f>
              <c:numCache>
                <c:formatCode>General</c:formatCode>
                <c:ptCount val="4"/>
                <c:pt idx="0">
                  <c:v>45</c:v>
                </c:pt>
                <c:pt idx="1">
                  <c:v>10</c:v>
                </c:pt>
                <c:pt idx="2">
                  <c:v>35</c:v>
                </c:pt>
                <c:pt idx="3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805424"/>
        <c:axId val="189482664"/>
        <c:axId val="169242040"/>
      </c:bar3DChart>
      <c:catAx>
        <c:axId val="19080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9482664"/>
        <c:crosses val="autoZero"/>
        <c:auto val="1"/>
        <c:lblAlgn val="ctr"/>
        <c:lblOffset val="100"/>
        <c:noMultiLvlLbl val="0"/>
      </c:catAx>
      <c:valAx>
        <c:axId val="18948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805424"/>
        <c:crosses val="autoZero"/>
        <c:crossBetween val="between"/>
      </c:valAx>
      <c:serAx>
        <c:axId val="1692420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9482664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Формула!$B$12</c:f>
              <c:strCache>
                <c:ptCount val="1"/>
                <c:pt idx="0">
                  <c:v>Білки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Формула!$A$13:$A$16</c:f>
              <c:strCache>
                <c:ptCount val="4"/>
                <c:pt idx="0">
                  <c:v>Сніданок</c:v>
                </c:pt>
                <c:pt idx="1">
                  <c:v>Ланч</c:v>
                </c:pt>
                <c:pt idx="2">
                  <c:v>Обід</c:v>
                </c:pt>
                <c:pt idx="3">
                  <c:v>Вечеря</c:v>
                </c:pt>
              </c:strCache>
            </c:strRef>
          </c:cat>
          <c:val>
            <c:numRef>
              <c:f>Формула!$B$13:$B$16</c:f>
              <c:numCache>
                <c:formatCode>General</c:formatCode>
                <c:ptCount val="4"/>
                <c:pt idx="0">
                  <c:v>35</c:v>
                </c:pt>
                <c:pt idx="1">
                  <c:v>5</c:v>
                </c:pt>
                <c:pt idx="2">
                  <c:v>20</c:v>
                </c:pt>
                <c:pt idx="3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32911832895888016"/>
          <c:y val="4.1666666666668241E-4"/>
          <c:w val="0.40287467191601051"/>
          <c:h val="0.6714577865266842"/>
        </c:manualLayout>
      </c:layout>
      <c:pieChart>
        <c:varyColors val="1"/>
        <c:ser>
          <c:idx val="0"/>
          <c:order val="0"/>
          <c:tx>
            <c:strRef>
              <c:f>Формула!$A$13</c:f>
              <c:strCache>
                <c:ptCount val="1"/>
                <c:pt idx="0">
                  <c:v>Сніданок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Формула!$B$12:$D$12</c:f>
              <c:strCache>
                <c:ptCount val="3"/>
                <c:pt idx="0">
                  <c:v>Білки</c:v>
                </c:pt>
                <c:pt idx="1">
                  <c:v>жири</c:v>
                </c:pt>
                <c:pt idx="2">
                  <c:v>Вуглеводи</c:v>
                </c:pt>
              </c:strCache>
            </c:strRef>
          </c:cat>
          <c:val>
            <c:numRef>
              <c:f>Формула!$B$13:$D$13</c:f>
              <c:numCache>
                <c:formatCode>General</c:formatCode>
                <c:ptCount val="3"/>
                <c:pt idx="0">
                  <c:v>35</c:v>
                </c:pt>
                <c:pt idx="1">
                  <c:v>15</c:v>
                </c:pt>
                <c:pt idx="2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Лист3!$B$34:$E$34</c:f>
              <c:strCache>
                <c:ptCount val="4"/>
                <c:pt idx="0">
                  <c:v>Білки</c:v>
                </c:pt>
                <c:pt idx="1">
                  <c:v>Жири</c:v>
                </c:pt>
                <c:pt idx="2">
                  <c:v>Вуглеводы</c:v>
                </c:pt>
                <c:pt idx="3">
                  <c:v>Ккал</c:v>
                </c:pt>
              </c:strCache>
            </c:strRef>
          </c:cat>
          <c:val>
            <c:numRef>
              <c:f>Лист3!$B$41:$E$41</c:f>
              <c:numCache>
                <c:formatCode>General</c:formatCode>
                <c:ptCount val="4"/>
                <c:pt idx="0">
                  <c:v>122.93611811447424</c:v>
                </c:pt>
                <c:pt idx="1">
                  <c:v>95.301579680696662</c:v>
                </c:pt>
                <c:pt idx="2">
                  <c:v>99.855950525562562</c:v>
                </c:pt>
                <c:pt idx="3">
                  <c:v>96.683904829498317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509944"/>
        <c:axId val="190496208"/>
        <c:axId val="0"/>
      </c:bar3DChart>
      <c:catAx>
        <c:axId val="190509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496208"/>
        <c:crosses val="autoZero"/>
        <c:auto val="1"/>
        <c:lblAlgn val="ctr"/>
        <c:lblOffset val="100"/>
        <c:noMultiLvlLbl val="0"/>
      </c:catAx>
      <c:valAx>
        <c:axId val="19049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509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0</xdr:row>
      <xdr:rowOff>0</xdr:rowOff>
    </xdr:from>
    <xdr:to>
      <xdr:col>6</xdr:col>
      <xdr:colOff>114300</xdr:colOff>
      <xdr:row>14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190500</xdr:colOff>
      <xdr:row>5</xdr:row>
      <xdr:rowOff>71437</xdr:rowOff>
    </xdr:from>
    <xdr:to>
      <xdr:col>20</xdr:col>
      <xdr:colOff>495300</xdr:colOff>
      <xdr:row>19</xdr:row>
      <xdr:rowOff>147637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771525</xdr:colOff>
      <xdr:row>1</xdr:row>
      <xdr:rowOff>33337</xdr:rowOff>
    </xdr:from>
    <xdr:to>
      <xdr:col>6</xdr:col>
      <xdr:colOff>257175</xdr:colOff>
      <xdr:row>15</xdr:row>
      <xdr:rowOff>119062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32615</xdr:colOff>
      <xdr:row>3</xdr:row>
      <xdr:rowOff>66819</xdr:rowOff>
    </xdr:from>
    <xdr:to>
      <xdr:col>20</xdr:col>
      <xdr:colOff>337416</xdr:colOff>
      <xdr:row>17</xdr:row>
      <xdr:rowOff>143019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img11.nnm.me/5/9/8/5/8/a9bc63625a5265f86aab4adeb88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activeCell="A2" sqref="A2"/>
    </sheetView>
  </sheetViews>
  <sheetFormatPr defaultRowHeight="15" x14ac:dyDescent="0.25"/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G1" t="s">
        <v>4</v>
      </c>
    </row>
    <row r="2" spans="1:17" x14ac:dyDescent="0.25">
      <c r="A2">
        <v>50</v>
      </c>
      <c r="B2">
        <v>166</v>
      </c>
      <c r="C2">
        <v>13</v>
      </c>
      <c r="D2">
        <v>1.38</v>
      </c>
      <c r="G2" t="s">
        <v>37</v>
      </c>
    </row>
    <row r="4" spans="1:17" x14ac:dyDescent="0.25">
      <c r="A4" t="s">
        <v>5</v>
      </c>
      <c r="B4">
        <f>IF(G2=G57,Формула!B2,Формула!B1)</f>
        <v>2260.6151999999997</v>
      </c>
    </row>
    <row r="5" spans="1:17" x14ac:dyDescent="0.25">
      <c r="A5" t="s">
        <v>7</v>
      </c>
      <c r="B5">
        <f>B4*Формула!D4/100</f>
        <v>311.02423892617446</v>
      </c>
    </row>
    <row r="6" spans="1:17" x14ac:dyDescent="0.25">
      <c r="A6" t="s">
        <v>8</v>
      </c>
      <c r="B6">
        <f>B4*Формула!D5/100</f>
        <v>705.49400536912754</v>
      </c>
    </row>
    <row r="7" spans="1:17" x14ac:dyDescent="0.25">
      <c r="A7" t="s">
        <v>9</v>
      </c>
      <c r="B7">
        <f>B4*Формула!D6/100</f>
        <v>1244.0969557046978</v>
      </c>
    </row>
    <row r="13" spans="1:17" x14ac:dyDescent="0.25">
      <c r="Q13">
        <f>SUM(N13:P13)</f>
        <v>0</v>
      </c>
    </row>
    <row r="57" spans="7:7" x14ac:dyDescent="0.25">
      <c r="G57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1" sqref="B1"/>
    </sheetView>
  </sheetViews>
  <sheetFormatPr defaultRowHeight="15" x14ac:dyDescent="0.25"/>
  <cols>
    <col min="1" max="1" width="9.85546875" customWidth="1"/>
    <col min="2" max="2" width="18.28515625" customWidth="1"/>
    <col min="3" max="3" width="21.42578125" customWidth="1"/>
    <col min="4" max="4" width="18.28515625" customWidth="1"/>
  </cols>
  <sheetData>
    <row r="1" spans="1:4" x14ac:dyDescent="0.25">
      <c r="A1" t="s">
        <v>10</v>
      </c>
      <c r="B1">
        <f>(9.99*Расчет!A2+6.25*Расчет!B2-4.92*Расчет!C2-161)*Расчет!D2+450</f>
        <v>2260.6151999999997</v>
      </c>
    </row>
    <row r="2" spans="1:4" x14ac:dyDescent="0.25">
      <c r="A2" t="s">
        <v>11</v>
      </c>
      <c r="B2">
        <f>(9.99*Расчет!A2+6.25*Расчет!B2-4.92*Расчет!C2-5)*Расчет!D2+450</f>
        <v>2475.8951999999999</v>
      </c>
    </row>
    <row r="3" spans="1:4" x14ac:dyDescent="0.25">
      <c r="B3" t="s">
        <v>12</v>
      </c>
      <c r="C3" t="s">
        <v>13</v>
      </c>
      <c r="D3" t="s">
        <v>14</v>
      </c>
    </row>
    <row r="4" spans="1:4" x14ac:dyDescent="0.25">
      <c r="A4" t="s">
        <v>7</v>
      </c>
      <c r="B4">
        <v>1</v>
      </c>
      <c r="C4">
        <v>4.0999999999999996</v>
      </c>
      <c r="D4">
        <f>C4/C7*100</f>
        <v>13.758389261744966</v>
      </c>
    </row>
    <row r="5" spans="1:4" x14ac:dyDescent="0.25">
      <c r="A5" t="s">
        <v>8</v>
      </c>
      <c r="B5">
        <v>1</v>
      </c>
      <c r="C5">
        <v>9.3000000000000007</v>
      </c>
      <c r="D5">
        <f>C5/C8*100</f>
        <v>31.208053691275172</v>
      </c>
    </row>
    <row r="6" spans="1:4" x14ac:dyDescent="0.25">
      <c r="A6" t="s">
        <v>9</v>
      </c>
      <c r="B6">
        <v>4</v>
      </c>
      <c r="C6">
        <v>16.399999999999999</v>
      </c>
      <c r="D6">
        <f>C6/C9*100</f>
        <v>55.033557046979865</v>
      </c>
    </row>
    <row r="7" spans="1:4" x14ac:dyDescent="0.25">
      <c r="A7" t="s">
        <v>15</v>
      </c>
      <c r="C7">
        <f>SUM(C4:C6)</f>
        <v>29.799999999999997</v>
      </c>
      <c r="D7">
        <f>SUM(D4:D6)</f>
        <v>100</v>
      </c>
    </row>
    <row r="8" spans="1:4" x14ac:dyDescent="0.25">
      <c r="A8" t="s">
        <v>15</v>
      </c>
      <c r="C8">
        <v>29.799999999999997</v>
      </c>
    </row>
    <row r="9" spans="1:4" x14ac:dyDescent="0.25">
      <c r="A9" t="s">
        <v>15</v>
      </c>
      <c r="C9">
        <v>29.799999999999997</v>
      </c>
    </row>
    <row r="11" spans="1:4" ht="15.75" thickBot="1" x14ac:dyDescent="0.3"/>
    <row r="12" spans="1:4" ht="15.75" thickBot="1" x14ac:dyDescent="0.3">
      <c r="A12" s="14"/>
      <c r="B12" s="14" t="s">
        <v>54</v>
      </c>
      <c r="C12" s="14" t="s">
        <v>60</v>
      </c>
      <c r="D12" s="14" t="s">
        <v>61</v>
      </c>
    </row>
    <row r="13" spans="1:4" ht="15.75" thickBot="1" x14ac:dyDescent="0.3">
      <c r="A13" s="14" t="s">
        <v>34</v>
      </c>
      <c r="B13" s="14">
        <v>35</v>
      </c>
      <c r="C13" s="14">
        <v>15</v>
      </c>
      <c r="D13" s="14">
        <v>45</v>
      </c>
    </row>
    <row r="14" spans="1:4" ht="15.75" thickBot="1" x14ac:dyDescent="0.3">
      <c r="A14" s="14" t="s">
        <v>26</v>
      </c>
      <c r="B14" s="14">
        <v>5</v>
      </c>
      <c r="C14" s="14">
        <v>20</v>
      </c>
      <c r="D14" s="14">
        <v>10</v>
      </c>
    </row>
    <row r="15" spans="1:4" ht="15.75" thickBot="1" x14ac:dyDescent="0.3">
      <c r="A15" s="14" t="s">
        <v>35</v>
      </c>
      <c r="B15" s="14">
        <v>20</v>
      </c>
      <c r="C15" s="14">
        <v>60</v>
      </c>
      <c r="D15" s="14">
        <v>35</v>
      </c>
    </row>
    <row r="16" spans="1:4" ht="15.75" thickBot="1" x14ac:dyDescent="0.3">
      <c r="A16" s="14" t="s">
        <v>36</v>
      </c>
      <c r="B16" s="14">
        <v>40</v>
      </c>
      <c r="C16" s="14">
        <v>5</v>
      </c>
      <c r="D16" s="14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="66" zoomScaleNormal="66" workbookViewId="0">
      <selection activeCell="C3" sqref="C3"/>
    </sheetView>
  </sheetViews>
  <sheetFormatPr defaultRowHeight="15" x14ac:dyDescent="0.25"/>
  <cols>
    <col min="1" max="1" width="26.85546875" customWidth="1"/>
  </cols>
  <sheetData>
    <row r="1" spans="1:6" x14ac:dyDescent="0.25">
      <c r="A1" t="s">
        <v>16</v>
      </c>
      <c r="B1">
        <f>Расчет!B4</f>
        <v>2260.6151999999997</v>
      </c>
      <c r="C1" t="s">
        <v>52</v>
      </c>
    </row>
    <row r="2" spans="1:6" x14ac:dyDescent="0.25">
      <c r="A2" t="s">
        <v>49</v>
      </c>
      <c r="B2">
        <f>Расчет!B5</f>
        <v>311.02423892617446</v>
      </c>
      <c r="C2">
        <f>B2/4.1</f>
        <v>75.859570469798655</v>
      </c>
    </row>
    <row r="3" spans="1:6" x14ac:dyDescent="0.25">
      <c r="A3" t="s">
        <v>17</v>
      </c>
      <c r="B3">
        <f>Расчет!B6</f>
        <v>705.49400536912754</v>
      </c>
      <c r="C3">
        <f>B3/9.3</f>
        <v>75.859570469798655</v>
      </c>
    </row>
    <row r="4" spans="1:6" x14ac:dyDescent="0.25">
      <c r="A4" t="s">
        <v>18</v>
      </c>
      <c r="B4">
        <f>Расчет!B7</f>
        <v>1244.0969557046978</v>
      </c>
      <c r="C4">
        <f t="shared" ref="C4" si="0">B4/4.1</f>
        <v>303.43828187919462</v>
      </c>
    </row>
    <row r="6" spans="1:6" x14ac:dyDescent="0.25">
      <c r="A6" s="11"/>
      <c r="B6" s="11" t="s">
        <v>46</v>
      </c>
      <c r="C6" s="11" t="s">
        <v>20</v>
      </c>
      <c r="D6" s="11" t="s">
        <v>21</v>
      </c>
      <c r="E6" s="11" t="s">
        <v>22</v>
      </c>
      <c r="F6" s="11" t="s">
        <v>16</v>
      </c>
    </row>
    <row r="7" spans="1:6" x14ac:dyDescent="0.25">
      <c r="A7" s="1" t="s">
        <v>34</v>
      </c>
      <c r="B7" s="1"/>
      <c r="C7" s="1">
        <f>B2*Формула!B13/100/4.1</f>
        <v>26.550849664429528</v>
      </c>
      <c r="D7" s="1">
        <f>B3*Формула!C13/100/9.3</f>
        <v>11.378935570469798</v>
      </c>
      <c r="E7" s="1">
        <f>B4*Формула!$D$13/100/4.1</f>
        <v>136.5472268456376</v>
      </c>
      <c r="F7" s="1">
        <f>C7*4.1+D7*9.3+E7*4.1</f>
        <v>774.52621449664423</v>
      </c>
    </row>
    <row r="8" spans="1:6" x14ac:dyDescent="0.25">
      <c r="A8" s="2" t="s">
        <v>23</v>
      </c>
      <c r="B8" s="2">
        <f>E8/21.2*100</f>
        <v>579.68162340129174</v>
      </c>
      <c r="C8" s="2">
        <f>5*B8/100</f>
        <v>28.984081170064588</v>
      </c>
      <c r="D8" s="2">
        <f>0.7*B8/100</f>
        <v>4.0577713638090422</v>
      </c>
      <c r="E8" s="2">
        <f>E7*0.9</f>
        <v>122.89250416107384</v>
      </c>
      <c r="F8" s="2">
        <f>C8*4.1+D8*9.3+E8*4.1</f>
        <v>660.43127354109163</v>
      </c>
    </row>
    <row r="9" spans="1:6" x14ac:dyDescent="0.25">
      <c r="A9" s="2" t="s">
        <v>24</v>
      </c>
      <c r="B9" s="2">
        <f>D9/2.5*100</f>
        <v>136.54722684563757</v>
      </c>
      <c r="C9" s="2">
        <f>2.8*B9/100</f>
        <v>3.8233223516778514</v>
      </c>
      <c r="D9" s="2">
        <f>0.3*D7</f>
        <v>3.4136806711409391</v>
      </c>
      <c r="E9" s="2">
        <f>4.7*B9/100</f>
        <v>6.4177196617449654</v>
      </c>
      <c r="F9" s="2">
        <f>59*B9/100</f>
        <v>80.562863838926162</v>
      </c>
    </row>
    <row r="10" spans="1:6" x14ac:dyDescent="0.25">
      <c r="A10" s="3" t="s">
        <v>45</v>
      </c>
      <c r="B10" s="3">
        <f>B8+B9</f>
        <v>716.22885024692937</v>
      </c>
      <c r="C10" s="3">
        <f>C8+C9</f>
        <v>32.807403521742437</v>
      </c>
      <c r="D10" s="3">
        <f t="shared" ref="D10:F10" si="1">D8+D9</f>
        <v>7.4714520349499818</v>
      </c>
      <c r="E10" s="3">
        <f t="shared" si="1"/>
        <v>129.31022382281881</v>
      </c>
      <c r="F10" s="3">
        <f t="shared" si="1"/>
        <v>740.99413738001783</v>
      </c>
    </row>
    <row r="12" spans="1:6" x14ac:dyDescent="0.25">
      <c r="A12" s="8"/>
      <c r="B12" s="8" t="s">
        <v>46</v>
      </c>
      <c r="C12" s="8" t="s">
        <v>20</v>
      </c>
      <c r="D12" s="8" t="s">
        <v>21</v>
      </c>
      <c r="E12" s="8" t="s">
        <v>22</v>
      </c>
      <c r="F12" s="8" t="s">
        <v>25</v>
      </c>
    </row>
    <row r="13" spans="1:6" x14ac:dyDescent="0.25">
      <c r="A13" s="3" t="s">
        <v>26</v>
      </c>
      <c r="B13" s="3"/>
      <c r="C13" s="3">
        <f>B2*Формула!B14/100/4.1</f>
        <v>3.7929785234899325</v>
      </c>
      <c r="D13" s="3">
        <f>B3*Формула!C14/100/9.3</f>
        <v>15.171914093959732</v>
      </c>
      <c r="E13" s="3">
        <f>B4*Формула!D14/100/4.1</f>
        <v>30.34382818791946</v>
      </c>
      <c r="F13" s="3">
        <f>C13*4.1+D13*9.3+E13*4.1</f>
        <v>281.05970859060403</v>
      </c>
    </row>
    <row r="14" spans="1:6" x14ac:dyDescent="0.25">
      <c r="A14" s="9" t="s">
        <v>47</v>
      </c>
      <c r="B14" s="9">
        <f>D14/52*100</f>
        <v>29.176757872999481</v>
      </c>
      <c r="C14" s="9">
        <f>1*B14/100</f>
        <v>0.29176757872999481</v>
      </c>
      <c r="D14" s="9">
        <f>D13</f>
        <v>15.171914093959732</v>
      </c>
      <c r="E14" s="9">
        <f>15*B14/100</f>
        <v>4.3765136809499223</v>
      </c>
      <c r="F14" s="9">
        <f t="shared" ref="F14:F15" si="2">C14*4.1+D14*9.3+E14*4.1</f>
        <v>160.23875423851317</v>
      </c>
    </row>
    <row r="15" spans="1:6" x14ac:dyDescent="0.25">
      <c r="A15" s="9" t="s">
        <v>48</v>
      </c>
      <c r="B15" s="9">
        <f>E15/10*100</f>
        <v>259.67314506969535</v>
      </c>
      <c r="C15" s="9">
        <f>B15*1.2/100</f>
        <v>3.116077740836344</v>
      </c>
      <c r="D15" s="9">
        <f>B15*0.3/100</f>
        <v>0.77901943520908601</v>
      </c>
      <c r="E15" s="9">
        <f>(E13-E14)</f>
        <v>25.967314506969537</v>
      </c>
      <c r="F15" s="9">
        <f t="shared" si="2"/>
        <v>126.4867889634486</v>
      </c>
    </row>
    <row r="16" spans="1:6" x14ac:dyDescent="0.25">
      <c r="A16" s="10" t="s">
        <v>45</v>
      </c>
      <c r="B16" s="10">
        <f>B14+B15</f>
        <v>288.84990294269483</v>
      </c>
      <c r="C16" s="10">
        <f t="shared" ref="C16:E16" si="3">C14+C15</f>
        <v>3.4078453195663387</v>
      </c>
      <c r="D16" s="10">
        <f t="shared" si="3"/>
        <v>15.950933529168818</v>
      </c>
      <c r="E16" s="10">
        <f t="shared" si="3"/>
        <v>30.34382818791946</v>
      </c>
      <c r="F16" s="10">
        <f>SUM(F14:F15)</f>
        <v>286.72554320196178</v>
      </c>
    </row>
    <row r="18" spans="1:6" x14ac:dyDescent="0.25">
      <c r="A18" s="4"/>
      <c r="B18" s="4" t="s">
        <v>46</v>
      </c>
      <c r="C18" s="4" t="s">
        <v>20</v>
      </c>
      <c r="D18" s="4" t="s">
        <v>21</v>
      </c>
      <c r="E18" s="4" t="s">
        <v>22</v>
      </c>
      <c r="F18" s="4" t="s">
        <v>25</v>
      </c>
    </row>
    <row r="19" spans="1:6" x14ac:dyDescent="0.25">
      <c r="A19" s="5" t="s">
        <v>35</v>
      </c>
      <c r="B19" s="5"/>
      <c r="C19" s="5">
        <f>B2*Формула!B15/100/4.1</f>
        <v>15.17191409395973</v>
      </c>
      <c r="D19" s="5">
        <f>B3*Формула!C15/100/9.3</f>
        <v>45.515742281879191</v>
      </c>
      <c r="E19" s="5">
        <f>B4*Формула!D15/100/4.1</f>
        <v>106.20339865771811</v>
      </c>
      <c r="F19" s="5">
        <f>C19*4.1+D19*9.3+E19*4.1</f>
        <v>920.93518550335557</v>
      </c>
    </row>
    <row r="20" spans="1:6" x14ac:dyDescent="0.25">
      <c r="A20" s="6" t="s">
        <v>27</v>
      </c>
      <c r="B20" s="6">
        <f>D20/10*100</f>
        <v>204.82084026845638</v>
      </c>
      <c r="C20" s="6">
        <f>B20*1.2/100</f>
        <v>2.4578500832214765</v>
      </c>
      <c r="D20" s="6">
        <f>D19*0.45</f>
        <v>20.482084026845637</v>
      </c>
      <c r="E20" s="6">
        <f>B20*1.3/100</f>
        <v>2.6626709234899328</v>
      </c>
      <c r="F20" s="5">
        <f t="shared" ref="F20:F22" si="4">C20*4.1+D20*9.3+E20*4.1</f>
        <v>211.47751757718123</v>
      </c>
    </row>
    <row r="21" spans="1:6" x14ac:dyDescent="0.25">
      <c r="A21" s="6" t="s">
        <v>28</v>
      </c>
      <c r="B21" s="6">
        <f>C21/25*100</f>
        <v>50.856256042953021</v>
      </c>
      <c r="C21" s="6">
        <f>(C19-C20)</f>
        <v>12.714064010738253</v>
      </c>
      <c r="D21" s="6">
        <f>B21/100*30</f>
        <v>15.256876812885906</v>
      </c>
      <c r="E21" s="6">
        <f>B21/100</f>
        <v>0.50856256042953019</v>
      </c>
      <c r="F21" s="5">
        <f t="shared" si="4"/>
        <v>196.10172330162686</v>
      </c>
    </row>
    <row r="22" spans="1:6" x14ac:dyDescent="0.25">
      <c r="A22" s="6" t="s">
        <v>31</v>
      </c>
      <c r="B22" s="6">
        <f>E22/33*100</f>
        <v>124.88747293793776</v>
      </c>
      <c r="C22" s="6">
        <f>B22/100*6</f>
        <v>7.4932483762762656</v>
      </c>
      <c r="D22" s="6">
        <f>B22/100*1.2</f>
        <v>1.4986496752552532</v>
      </c>
      <c r="E22" s="6">
        <f>(E19-E20-E21)*0.4</f>
        <v>41.212866069519464</v>
      </c>
      <c r="F22" s="5">
        <f t="shared" si="4"/>
        <v>213.63251120763636</v>
      </c>
    </row>
    <row r="23" spans="1:6" x14ac:dyDescent="0.25">
      <c r="A23" s="6" t="s">
        <v>53</v>
      </c>
      <c r="B23" s="6">
        <f>E23/74*100</f>
        <v>94.594594594594597</v>
      </c>
      <c r="C23" s="6">
        <f>B23/100*0.3</f>
        <v>0.28378378378378377</v>
      </c>
      <c r="D23" s="6">
        <f>B23/100*0.1</f>
        <v>9.45945945945946E-2</v>
      </c>
      <c r="E23" s="6">
        <v>70</v>
      </c>
      <c r="F23" s="5">
        <f>C23*4.1+D23*9.3+E23*4.1</f>
        <v>289.04324324324324</v>
      </c>
    </row>
    <row r="24" spans="1:6" x14ac:dyDescent="0.25">
      <c r="A24" s="6" t="s">
        <v>32</v>
      </c>
      <c r="B24" s="6">
        <f>D24/24*100</f>
        <v>34.098071551240835</v>
      </c>
      <c r="C24" s="6">
        <f>B24/100*11</f>
        <v>3.7507878706364917</v>
      </c>
      <c r="D24" s="6">
        <f>(D19-D20-D21-D22-D23)</f>
        <v>8.1835371722978003</v>
      </c>
      <c r="E24" s="6">
        <f>B24/100*0.4</f>
        <v>0.13639228620496333</v>
      </c>
      <c r="F24" s="5">
        <f>C24*4.1+D24*9.3+E24*4.1</f>
        <v>92.044334345419514</v>
      </c>
    </row>
    <row r="25" spans="1:6" x14ac:dyDescent="0.25">
      <c r="A25" s="7" t="s">
        <v>45</v>
      </c>
      <c r="B25" s="7">
        <f>B20+B21+B22+B23+B24</f>
        <v>509.25723539518259</v>
      </c>
      <c r="C25" s="7">
        <f t="shared" ref="C25:E25" si="5">C20+C21+C22+C23+C24</f>
        <v>26.699734124656267</v>
      </c>
      <c r="D25" s="7">
        <f t="shared" si="5"/>
        <v>45.515742281879199</v>
      </c>
      <c r="E25" s="7">
        <f t="shared" si="5"/>
        <v>114.5204918396439</v>
      </c>
      <c r="F25" s="5">
        <f>C25*4.1+D25*9.3+E25*4.1</f>
        <v>1002.2993296751072</v>
      </c>
    </row>
    <row r="27" spans="1:6" x14ac:dyDescent="0.25">
      <c r="A27" s="4"/>
      <c r="B27" s="4" t="s">
        <v>46</v>
      </c>
      <c r="C27" s="4" t="s">
        <v>20</v>
      </c>
      <c r="D27" s="4" t="s">
        <v>21</v>
      </c>
      <c r="E27" s="4" t="s">
        <v>22</v>
      </c>
      <c r="F27" s="4" t="s">
        <v>25</v>
      </c>
    </row>
    <row r="28" spans="1:6" x14ac:dyDescent="0.25">
      <c r="A28" s="5" t="s">
        <v>36</v>
      </c>
      <c r="B28" s="5"/>
      <c r="C28" s="5">
        <f>B2*Формула!B16/100/4.1</f>
        <v>30.34382818791946</v>
      </c>
      <c r="D28" s="5">
        <f>B3*Формула!C16/100/9.3</f>
        <v>3.7929785234899329</v>
      </c>
      <c r="E28" s="5">
        <f>B4*Формула!D16/100/4.1</f>
        <v>30.34382818791946</v>
      </c>
      <c r="F28" s="5">
        <f>C28*4.1+D28*9.3+E265*4.1</f>
        <v>159.68439583892615</v>
      </c>
    </row>
    <row r="29" spans="1:6" x14ac:dyDescent="0.25">
      <c r="A29" s="6" t="s">
        <v>29</v>
      </c>
      <c r="B29" s="6">
        <f>E29/25*100</f>
        <v>115.30654711409395</v>
      </c>
      <c r="C29" s="6">
        <f>B29*2.2/100</f>
        <v>2.5367440365100671</v>
      </c>
      <c r="D29" s="6">
        <f>B29*0.5/100</f>
        <v>0.57653273557046969</v>
      </c>
      <c r="E29" s="6">
        <f>E28*0.95</f>
        <v>28.826636778523486</v>
      </c>
      <c r="F29" s="5">
        <f t="shared" ref="F29:F30" si="6">C29*4.1+D29*9.3+E266*4.1</f>
        <v>15.762404990496643</v>
      </c>
    </row>
    <row r="30" spans="1:6" x14ac:dyDescent="0.25">
      <c r="A30" s="6" t="s">
        <v>30</v>
      </c>
      <c r="B30" s="6">
        <f>C30/20*100</f>
        <v>139.03542075704695</v>
      </c>
      <c r="C30" s="6">
        <f>(C28-C29)</f>
        <v>27.807084151409391</v>
      </c>
      <c r="D30" s="6">
        <f>B30/100*2</f>
        <v>2.7807084151409391</v>
      </c>
      <c r="E30" s="6">
        <v>0</v>
      </c>
      <c r="F30" s="5">
        <f t="shared" si="6"/>
        <v>139.86963328158924</v>
      </c>
    </row>
    <row r="31" spans="1:6" x14ac:dyDescent="0.25">
      <c r="A31" s="7" t="s">
        <v>45</v>
      </c>
      <c r="B31" s="7">
        <f>B29+B30</f>
        <v>254.34196787114089</v>
      </c>
      <c r="C31" s="7">
        <f t="shared" ref="C31:E31" si="7">C29+C30</f>
        <v>30.34382818791946</v>
      </c>
      <c r="D31" s="7">
        <f t="shared" si="7"/>
        <v>3.3572411507114088</v>
      </c>
      <c r="E31" s="7">
        <f t="shared" si="7"/>
        <v>28.826636778523486</v>
      </c>
      <c r="F31" s="7">
        <f t="shared" ref="F31" si="8">SUM(F29:F30)</f>
        <v>155.63203827208588</v>
      </c>
    </row>
    <row r="34" spans="1:8" x14ac:dyDescent="0.25">
      <c r="A34" t="s">
        <v>33</v>
      </c>
      <c r="B34" t="s">
        <v>54</v>
      </c>
      <c r="C34" t="s">
        <v>55</v>
      </c>
      <c r="D34" t="s">
        <v>56</v>
      </c>
      <c r="E34" t="s">
        <v>25</v>
      </c>
    </row>
    <row r="35" spans="1:8" x14ac:dyDescent="0.25">
      <c r="A35" t="s">
        <v>19</v>
      </c>
      <c r="B35" s="12">
        <f>C10</f>
        <v>32.807403521742437</v>
      </c>
      <c r="C35" s="12">
        <f t="shared" ref="C35:E35" si="9">D10</f>
        <v>7.4714520349499818</v>
      </c>
      <c r="D35" s="12">
        <f t="shared" si="9"/>
        <v>129.31022382281881</v>
      </c>
      <c r="E35" s="12">
        <f t="shared" si="9"/>
        <v>740.99413738001783</v>
      </c>
    </row>
    <row r="36" spans="1:8" x14ac:dyDescent="0.25">
      <c r="A36" t="s">
        <v>26</v>
      </c>
      <c r="B36" s="12">
        <f>C16</f>
        <v>3.4078453195663387</v>
      </c>
      <c r="C36" s="12">
        <f t="shared" ref="C36:E36" si="10">D16</f>
        <v>15.950933529168818</v>
      </c>
      <c r="D36" s="12">
        <f t="shared" si="10"/>
        <v>30.34382818791946</v>
      </c>
      <c r="E36" s="12">
        <f t="shared" si="10"/>
        <v>286.72554320196178</v>
      </c>
    </row>
    <row r="37" spans="1:8" x14ac:dyDescent="0.25">
      <c r="A37" t="s">
        <v>35</v>
      </c>
      <c r="B37" s="12">
        <f>C25</f>
        <v>26.699734124656267</v>
      </c>
      <c r="C37" s="12">
        <f t="shared" ref="C37:E37" si="11">D25</f>
        <v>45.515742281879199</v>
      </c>
      <c r="D37" s="12">
        <f t="shared" si="11"/>
        <v>114.5204918396439</v>
      </c>
      <c r="E37" s="12">
        <f t="shared" si="11"/>
        <v>1002.2993296751072</v>
      </c>
    </row>
    <row r="38" spans="1:8" x14ac:dyDescent="0.25">
      <c r="A38" t="s">
        <v>36</v>
      </c>
      <c r="B38" s="12">
        <f>C31</f>
        <v>30.34382818791946</v>
      </c>
      <c r="C38" s="12">
        <f t="shared" ref="C38:E38" si="12">D31</f>
        <v>3.3572411507114088</v>
      </c>
      <c r="D38" s="12">
        <f t="shared" si="12"/>
        <v>28.826636778523486</v>
      </c>
      <c r="E38" s="12">
        <f t="shared" si="12"/>
        <v>155.63203827208588</v>
      </c>
    </row>
    <row r="39" spans="1:8" x14ac:dyDescent="0.25">
      <c r="A39" t="s">
        <v>45</v>
      </c>
      <c r="B39" s="12">
        <f>SUM(B35:B38)</f>
        <v>93.258811153884508</v>
      </c>
      <c r="C39" s="12">
        <f t="shared" ref="C39:E39" si="13">SUM(C35:C38)</f>
        <v>72.295368996709399</v>
      </c>
      <c r="D39" s="12">
        <f t="shared" si="13"/>
        <v>303.00118062890567</v>
      </c>
      <c r="E39" s="12">
        <f t="shared" si="13"/>
        <v>2185.6510485291728</v>
      </c>
    </row>
    <row r="40" spans="1:8" x14ac:dyDescent="0.25">
      <c r="A40" t="s">
        <v>50</v>
      </c>
      <c r="B40">
        <f>C2</f>
        <v>75.859570469798655</v>
      </c>
      <c r="C40">
        <f>C3</f>
        <v>75.859570469798655</v>
      </c>
      <c r="D40">
        <f>C4</f>
        <v>303.43828187919462</v>
      </c>
      <c r="E40">
        <f>B1</f>
        <v>2260.6151999999997</v>
      </c>
    </row>
    <row r="41" spans="1:8" x14ac:dyDescent="0.25">
      <c r="A41" t="s">
        <v>51</v>
      </c>
      <c r="B41">
        <f>B39/B40*100</f>
        <v>122.93611811447424</v>
      </c>
      <c r="C41">
        <f t="shared" ref="C41:E41" si="14">C39/C40*100</f>
        <v>95.301579680696662</v>
      </c>
      <c r="D41">
        <f t="shared" si="14"/>
        <v>99.855950525562562</v>
      </c>
      <c r="E41">
        <f t="shared" si="14"/>
        <v>96.683904829498317</v>
      </c>
    </row>
    <row r="42" spans="1:8" x14ac:dyDescent="0.25">
      <c r="A42" t="s">
        <v>57</v>
      </c>
      <c r="B42" t="s">
        <v>54</v>
      </c>
      <c r="D42" t="s">
        <v>55</v>
      </c>
      <c r="F42" t="s">
        <v>56</v>
      </c>
      <c r="H42" t="s">
        <v>25</v>
      </c>
    </row>
    <row r="43" spans="1:8" x14ac:dyDescent="0.25">
      <c r="B43" t="s">
        <v>58</v>
      </c>
      <c r="C43" t="s">
        <v>59</v>
      </c>
      <c r="D43" t="s">
        <v>58</v>
      </c>
      <c r="E43" t="s">
        <v>59</v>
      </c>
      <c r="F43" t="s">
        <v>58</v>
      </c>
      <c r="G43" t="s">
        <v>59</v>
      </c>
    </row>
    <row r="44" spans="1:8" x14ac:dyDescent="0.25">
      <c r="A44" t="s">
        <v>34</v>
      </c>
      <c r="B44">
        <f>B35*100/B39</f>
        <v>35.178878130461683</v>
      </c>
      <c r="C44">
        <v>35</v>
      </c>
      <c r="D44">
        <f>C35*100/C39</f>
        <v>10.334620513922617</v>
      </c>
      <c r="E44">
        <v>15</v>
      </c>
      <c r="F44">
        <f>D35*100/D39</f>
        <v>42.676475238289186</v>
      </c>
      <c r="G44">
        <v>45</v>
      </c>
      <c r="H44">
        <f>E35*100/E39</f>
        <v>33.902673433559649</v>
      </c>
    </row>
    <row r="45" spans="1:8" x14ac:dyDescent="0.25">
      <c r="A45" t="s">
        <v>26</v>
      </c>
      <c r="B45">
        <f>B36/B39*100</f>
        <v>3.6541805298623427</v>
      </c>
      <c r="C45">
        <v>5</v>
      </c>
      <c r="D45">
        <f>C36/C39*100</f>
        <v>22.063561954977835</v>
      </c>
      <c r="E45">
        <v>20</v>
      </c>
      <c r="F45">
        <f>D36/D39*100</f>
        <v>10.014425727628575</v>
      </c>
      <c r="G45">
        <v>10</v>
      </c>
      <c r="H45">
        <f>E36/E39*100</f>
        <v>13.118541653523003</v>
      </c>
    </row>
    <row r="46" spans="1:8" x14ac:dyDescent="0.25">
      <c r="A46" t="s">
        <v>35</v>
      </c>
      <c r="B46">
        <f>B37/B39*100</f>
        <v>28.6297174436414</v>
      </c>
      <c r="C46">
        <v>20</v>
      </c>
      <c r="D46">
        <f>C37/C39*100</f>
        <v>62.958033015850432</v>
      </c>
      <c r="E46">
        <v>60</v>
      </c>
      <c r="F46">
        <f>D37/D39*100</f>
        <v>37.795394592835088</v>
      </c>
      <c r="G46">
        <v>35</v>
      </c>
      <c r="H46">
        <f>E37/E39*100</f>
        <v>45.858158846976117</v>
      </c>
    </row>
    <row r="47" spans="1:8" x14ac:dyDescent="0.25">
      <c r="A47" t="s">
        <v>36</v>
      </c>
      <c r="B47">
        <f>B38/B39*100</f>
        <v>32.537223896034568</v>
      </c>
      <c r="C47">
        <v>40</v>
      </c>
      <c r="D47">
        <f>C38/C39*100</f>
        <v>4.6437845152491262</v>
      </c>
      <c r="E47">
        <v>5</v>
      </c>
      <c r="F47">
        <f>D38/D39*100</f>
        <v>9.5137044412471461</v>
      </c>
      <c r="G47">
        <v>10</v>
      </c>
      <c r="H47">
        <f>E38/E39*100</f>
        <v>7.1206260659412211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6" sqref="C6:F9"/>
    </sheetView>
  </sheetViews>
  <sheetFormatPr defaultRowHeight="15" x14ac:dyDescent="0.25"/>
  <cols>
    <col min="1" max="1" width="48.85546875" customWidth="1"/>
    <col min="2" max="2" width="37.140625" customWidth="1"/>
    <col min="3" max="3" width="72.7109375" customWidth="1"/>
  </cols>
  <sheetData>
    <row r="1" spans="1:6" x14ac:dyDescent="0.25">
      <c r="A1" t="s">
        <v>38</v>
      </c>
    </row>
    <row r="2" spans="1:6" x14ac:dyDescent="0.25">
      <c r="A2" t="s">
        <v>39</v>
      </c>
      <c r="B2" t="s">
        <v>40</v>
      </c>
      <c r="C2" t="s">
        <v>41</v>
      </c>
      <c r="D2" t="s">
        <v>42</v>
      </c>
    </row>
    <row r="3" spans="1:6" x14ac:dyDescent="0.25">
      <c r="A3" t="s">
        <v>39</v>
      </c>
      <c r="B3" t="s">
        <v>43</v>
      </c>
      <c r="C3" s="13" t="s">
        <v>44</v>
      </c>
    </row>
    <row r="6" spans="1:6" x14ac:dyDescent="0.25">
      <c r="C6" s="3">
        <f ca="1">SUM(C6:C6)</f>
        <v>31.02677719640371</v>
      </c>
      <c r="D6" s="3">
        <f ca="1">SUM(D6:D6)</f>
        <v>7.0659379511206808</v>
      </c>
      <c r="E6" s="3">
        <f ca="1">SUM(E6:E6)</f>
        <v>122.29189369127521</v>
      </c>
      <c r="F6" s="3">
        <f ca="1">SUM(F6:F6)</f>
        <v>700.77657895403331</v>
      </c>
    </row>
    <row r="7" spans="1:6" x14ac:dyDescent="0.25">
      <c r="C7" s="10">
        <f ca="1">SUM(C6:C6)</f>
        <v>3.3039328156943721</v>
      </c>
      <c r="D7" s="10">
        <f ca="1">SUM(D6:D6)</f>
        <v>15.464555396747549</v>
      </c>
      <c r="E7" s="10">
        <f ca="1">SUM(E6:E6)</f>
        <v>29.418579865771807</v>
      </c>
      <c r="F7" s="10">
        <f ca="1">SUM(F6:F6)</f>
        <v>277.98266718376357</v>
      </c>
    </row>
    <row r="8" spans="1:6" x14ac:dyDescent="0.25">
      <c r="C8" s="7">
        <f t="shared" ref="C8:E9" ca="1" si="0">SUM(C6:C7)</f>
        <v>35.550745106349844</v>
      </c>
      <c r="D8" s="7">
        <f t="shared" ca="1" si="0"/>
        <v>44.127869798657713</v>
      </c>
      <c r="E8" s="7">
        <f t="shared" ca="1" si="0"/>
        <v>103.06246761089967</v>
      </c>
      <c r="F8" s="5">
        <f ca="1">C8*4.1+D8*9.3+E8*4.1</f>
        <v>978.70336126823986</v>
      </c>
    </row>
    <row r="9" spans="1:6" x14ac:dyDescent="0.25">
      <c r="C9" s="7">
        <f t="shared" ca="1" si="0"/>
        <v>29.418579865771807</v>
      </c>
      <c r="D9" s="7">
        <f t="shared" ca="1" si="0"/>
        <v>3.2548716763489924</v>
      </c>
      <c r="E9" s="7">
        <f t="shared" ca="1" si="0"/>
        <v>27.947650872483216</v>
      </c>
      <c r="F9" s="7">
        <f ca="1">SUM(F7:F8)</f>
        <v>150.88648403971004</v>
      </c>
    </row>
    <row r="10" spans="1:6" x14ac:dyDescent="0.25">
      <c r="F10" s="12">
        <f ca="1">SUM(F6:F9)</f>
        <v>0</v>
      </c>
    </row>
  </sheetData>
  <hyperlinks>
    <hyperlink ref="C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Расчет</vt:lpstr>
      <vt:lpstr>Формула</vt:lpstr>
      <vt:lpstr>Лист3</vt:lpstr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2015-06-26T16:59:50Z</dcterms:created>
  <dcterms:modified xsi:type="dcterms:W3CDTF">2015-06-28T12:13:46Z</dcterms:modified>
</cp:coreProperties>
</file>